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  <sheet name="Параметр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Arial"/>
      <b val="1"/>
    </font>
    <font>
      <name val="Arial"/>
    </font>
    <font>
      <name val="Arial"/>
      <color rgb="000000FF"/>
    </font>
    <font>
      <name val="Arial"/>
      <b val="1"/>
      <sz val="13"/>
    </font>
    <font>
      <name val="Arial"/>
      <i val="1"/>
      <color rgb="00555555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EDEBE4"/>
      </patternFill>
    </fill>
    <fill>
      <patternFill patternType="solid">
        <fgColor rgb="00FFF2CC"/>
      </patternFill>
    </fill>
    <fill>
      <patternFill patternType="solid">
        <fgColor rgb="00DDE3D3"/>
      </patternFill>
    </fill>
  </fills>
  <borders count="2">
    <border>
      <left/>
      <right/>
      <top/>
      <bottom/>
      <diagonal/>
    </border>
    <border>
      <left style="thin">
        <color rgb="00C9C4B8"/>
      </left>
      <right style="thin">
        <color rgb="00C9C4B8"/>
      </right>
      <top style="thin">
        <color rgb="00C9C4B8"/>
      </top>
      <bottom style="thin">
        <color rgb="00C9C4B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3" fontId="3" fillId="3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3" fontId="1" fillId="0" borderId="0" pivotButton="0" quotePrefix="0" xfId="0"/>
    <xf numFmtId="9" fontId="3" fillId="3" borderId="0" pivotButton="0" quotePrefix="0" xfId="0"/>
    <xf numFmtId="0" fontId="6" fillId="0" borderId="0" pivotButton="0" quotePrefix="0" xfId="0"/>
    <xf numFmtId="3" fontId="6" fillId="4" borderId="0" pivotButton="0" quotePrefix="0" xfId="0"/>
    <xf numFmtId="0" fontId="1" fillId="2" borderId="0" pivotButton="0" quotePrefix="0" xfId="0"/>
    <xf numFmtId="2" fontId="3" fillId="3" borderId="0" pivotButton="0" quotePrefix="0" xfId="0"/>
    <xf numFmtId="2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52" customWidth="1" min="3" max="3"/>
    <col width="9" customWidth="1" min="4" max="4"/>
    <col width="10" customWidth="1" min="5" max="5"/>
    <col width="14" customWidth="1" min="6" max="6"/>
    <col width="14" customWidth="1" min="7" max="7"/>
    <col width="46" customWidth="1" min="8" max="8"/>
  </cols>
  <sheetData>
    <row r="1">
      <c r="A1" s="1" t="inlineStr">
        <is>
          <t>Квартира 250, ул. Крузенштерна, д. 3, корп. 4 — смета материалов на черновые работы</t>
        </is>
      </c>
    </row>
    <row r="2">
      <c r="A2" s="2" t="inlineStr">
        <is>
          <t>Цены — ориентир по розничным магазинам Москвы (синие ячейки): проверить на дату закупки и заменить на фактические. Количества считаются по листу «Параметры» с запасом.</t>
        </is>
      </c>
    </row>
    <row r="4">
      <c r="A4" s="3" t="inlineStr">
        <is>
          <t>№</t>
        </is>
      </c>
      <c r="B4" s="3" t="inlineStr">
        <is>
          <t>Раздел</t>
        </is>
      </c>
      <c r="C4" s="3" t="inlineStr">
        <is>
          <t>Материал</t>
        </is>
      </c>
      <c r="D4" s="3" t="inlineStr">
        <is>
          <t>Ед.</t>
        </is>
      </c>
      <c r="E4" s="3" t="inlineStr">
        <is>
          <t>Кол-во</t>
        </is>
      </c>
      <c r="F4" s="3" t="inlineStr">
        <is>
          <t>Цена за ед., ₽</t>
        </is>
      </c>
      <c r="G4" s="3" t="inlineStr">
        <is>
          <t>Сумма, ₽</t>
        </is>
      </c>
      <c r="H4" s="3" t="inlineStr">
        <is>
          <t>Как посчитано</t>
        </is>
      </c>
    </row>
    <row r="5">
      <c r="A5" s="4" t="n">
        <v>1</v>
      </c>
      <c r="B5" s="4" t="inlineStr">
        <is>
          <t>Перегородки</t>
        </is>
      </c>
      <c r="C5" s="4" t="inlineStr">
        <is>
          <t>Блок газосиликатный D500 625×250×100</t>
        </is>
      </c>
      <c r="D5" s="4" t="inlineStr">
        <is>
          <t>шт.</t>
        </is>
      </c>
      <c r="E5" s="5">
        <f>ROUNDUP(Параметры!$C$12*6.4*1.05,0)</f>
        <v/>
      </c>
      <c r="F5" s="6" t="n">
        <v>95</v>
      </c>
      <c r="G5" s="7">
        <f>E5*F5</f>
        <v/>
      </c>
      <c r="H5" s="4" t="inlineStr">
        <is>
          <t>6,4 шт./м² + 5 % на подрезку</t>
        </is>
      </c>
    </row>
    <row r="6">
      <c r="A6" s="4" t="n">
        <v>2</v>
      </c>
      <c r="B6" s="4" t="inlineStr">
        <is>
          <t>Перегородки</t>
        </is>
      </c>
      <c r="C6" s="4" t="inlineStr">
        <is>
          <t>Блок газосиликатный D500 625×250×150</t>
        </is>
      </c>
      <c r="D6" s="4" t="inlineStr">
        <is>
          <t>шт.</t>
        </is>
      </c>
      <c r="E6" s="5">
        <f>ROUNDUP(Параметры!$C$13*6.4*1.05,0)</f>
        <v/>
      </c>
      <c r="F6" s="6" t="n">
        <v>140</v>
      </c>
      <c r="G6" s="7">
        <f>E6*F6</f>
        <v/>
      </c>
      <c r="H6" s="4" t="inlineStr">
        <is>
          <t>6,4 шт./м² + 5 %</t>
        </is>
      </c>
    </row>
    <row r="7">
      <c r="A7" s="4" t="n">
        <v>3</v>
      </c>
      <c r="B7" s="4" t="inlineStr">
        <is>
          <t>Перегородки</t>
        </is>
      </c>
      <c r="C7" s="4" t="inlineStr">
        <is>
          <t>Клей для газобетона, 25 кг</t>
        </is>
      </c>
      <c r="D7" s="4" t="inlineStr">
        <is>
          <t>мешок</t>
        </is>
      </c>
      <c r="E7" s="5">
        <f>ROUNDUP((Параметры!$C$12*0.1+Параметры!$C$13*0.15)*25*1.1/25,0)</f>
        <v/>
      </c>
      <c r="F7" s="6" t="n">
        <v>420</v>
      </c>
      <c r="G7" s="7">
        <f>E7*F7</f>
        <v/>
      </c>
      <c r="H7" s="4" t="inlineStr">
        <is>
          <t>≈ 25 кг на 1 м³ кладки + 10 %</t>
        </is>
      </c>
    </row>
    <row r="8">
      <c r="A8" s="4" t="n">
        <v>4</v>
      </c>
      <c r="B8" s="4" t="inlineStr">
        <is>
          <t>Перегородки</t>
        </is>
      </c>
      <c r="C8" s="4" t="inlineStr">
        <is>
          <t>Арматура Ø8 А500С</t>
        </is>
      </c>
      <c r="D8" s="4" t="inlineStr">
        <is>
          <t>м</t>
        </is>
      </c>
      <c r="E8" s="5">
        <f>ROUNDUP(Параметры!$C$14*4*2*1.1,0)</f>
        <v/>
      </c>
      <c r="F8" s="6" t="n">
        <v>45</v>
      </c>
      <c r="G8" s="7">
        <f>E8*F8</f>
        <v/>
      </c>
      <c r="H8" s="4" t="inlineStr">
        <is>
          <t>каждый 3-й ряд (4 ряда), 2 прутка, + 10 %</t>
        </is>
      </c>
    </row>
    <row r="9">
      <c r="A9" s="4" t="n">
        <v>5</v>
      </c>
      <c r="B9" s="4" t="inlineStr">
        <is>
          <t>Перегородки</t>
        </is>
      </c>
      <c r="C9" s="4" t="inlineStr">
        <is>
          <t>Гибкие связи / анкерные пластины к стенам</t>
        </is>
      </c>
      <c r="D9" s="4" t="inlineStr">
        <is>
          <t>шт.</t>
        </is>
      </c>
      <c r="E9" s="5">
        <f>ROUNDUP(Параметры!$C$15*Параметры!$C$4/0.25/2*1.2,0)</f>
        <v/>
      </c>
      <c r="F9" s="6" t="n">
        <v>15</v>
      </c>
      <c r="G9" s="7">
        <f>E9*F9</f>
        <v/>
      </c>
      <c r="H9" s="4" t="inlineStr">
        <is>
          <t>каждые 2 ряда на каждом примыкании + 20 %</t>
        </is>
      </c>
    </row>
    <row r="10">
      <c r="A10" s="4" t="n">
        <v>6</v>
      </c>
      <c r="B10" s="4" t="inlineStr">
        <is>
          <t>Перегородки</t>
        </is>
      </c>
      <c r="C10" s="4" t="inlineStr">
        <is>
          <t>Перфорированный уголок крепления к перекрытию</t>
        </is>
      </c>
      <c r="D10" s="4" t="inlineStr">
        <is>
          <t>шт.</t>
        </is>
      </c>
      <c r="E10" s="5">
        <f>ROUNDUP(Параметры!$C$14/0.6*2,0)</f>
        <v/>
      </c>
      <c r="F10" s="6" t="n">
        <v>30</v>
      </c>
      <c r="G10" s="7">
        <f>E10*F10</f>
        <v/>
      </c>
      <c r="H10" s="4" t="inlineStr">
        <is>
          <t>шаг 600 мм с двух сторон</t>
        </is>
      </c>
    </row>
    <row r="11">
      <c r="A11" s="4" t="n">
        <v>7</v>
      </c>
      <c r="B11" s="4" t="inlineStr">
        <is>
          <t>Перегородки</t>
        </is>
      </c>
      <c r="C11" s="4" t="inlineStr">
        <is>
          <t>Уголок стальной 75×75×6 (перемычки)</t>
        </is>
      </c>
      <c r="D11" s="4" t="inlineStr">
        <is>
          <t>м</t>
        </is>
      </c>
      <c r="E11" s="5">
        <f>1.3*5</f>
        <v/>
      </c>
      <c r="F11" s="6" t="n">
        <v>600</v>
      </c>
      <c r="G11" s="7">
        <f>E11*F11</f>
        <v/>
      </c>
      <c r="H11" s="4" t="inlineStr">
        <is>
          <t>2 проёма: П1 — 2 уголка, П4 — 3 уголка по 1,3 м</t>
        </is>
      </c>
    </row>
    <row r="12">
      <c r="A12" s="4" t="n">
        <v>8</v>
      </c>
      <c r="B12" s="4" t="inlineStr">
        <is>
          <t>Перегородки</t>
        </is>
      </c>
      <c r="C12" s="4" t="inlineStr">
        <is>
          <t>Лента демпферная 10 мм (верх и примыкания кладки)</t>
        </is>
      </c>
      <c r="D12" s="4" t="inlineStr">
        <is>
          <t>м</t>
        </is>
      </c>
      <c r="E12" s="5">
        <f>ROUNDUP((Параметры!$C$14+Параметры!$C$15*Параметры!$C$4)*1.1,0)</f>
        <v/>
      </c>
      <c r="F12" s="6" t="n">
        <v>22</v>
      </c>
      <c r="G12" s="7">
        <f>E12*F12</f>
        <v/>
      </c>
      <c r="H12" s="4" t="inlineStr">
        <is>
          <t>верх перегородок + вертикальные примыкания</t>
        </is>
      </c>
    </row>
    <row r="13">
      <c r="A13" s="4" t="n">
        <v>9</v>
      </c>
      <c r="B13" s="4" t="inlineStr">
        <is>
          <t>Перегородки</t>
        </is>
      </c>
      <c r="C13" s="4" t="inlineStr">
        <is>
          <t>Пена монтажная</t>
        </is>
      </c>
      <c r="D13" s="4" t="inlineStr">
        <is>
          <t>баллон</t>
        </is>
      </c>
      <c r="E13" s="5">
        <f>3</f>
        <v/>
      </c>
      <c r="F13" s="6" t="n">
        <v>600</v>
      </c>
      <c r="G13" s="7">
        <f>E13*F13</f>
        <v/>
      </c>
      <c r="H13" s="4" t="inlineStr">
        <is>
          <t>заполнение верхнего шва</t>
        </is>
      </c>
    </row>
    <row r="14">
      <c r="A14" s="4" t="n">
        <v>10</v>
      </c>
      <c r="B14" s="4" t="inlineStr">
        <is>
          <t>Перегородки</t>
        </is>
      </c>
      <c r="C14" s="4" t="inlineStr">
        <is>
          <t>Гидроизоляция под первый ряд (рулонная)</t>
        </is>
      </c>
      <c r="D14" s="4" t="inlineStr">
        <is>
          <t>м</t>
        </is>
      </c>
      <c r="E14" s="5">
        <f>ROUNDUP(Параметры!$C$14*1.1,0)</f>
        <v/>
      </c>
      <c r="F14" s="6" t="n">
        <v>60</v>
      </c>
      <c r="G14" s="7">
        <f>E14*F14</f>
        <v/>
      </c>
      <c r="H14" s="4" t="inlineStr">
        <is>
          <t>по длине перегородок</t>
        </is>
      </c>
    </row>
    <row r="15">
      <c r="A15" s="4" t="n">
        <v>11</v>
      </c>
      <c r="B15" s="4" t="inlineStr">
        <is>
          <t>Перегородки</t>
        </is>
      </c>
      <c r="C15" s="4" t="inlineStr">
        <is>
          <t>Анкеры для ячеистого бетона (навесная мебель, ТВ)</t>
        </is>
      </c>
      <c r="D15" s="4" t="inlineStr">
        <is>
          <t>шт.</t>
        </is>
      </c>
      <c r="E15" s="5">
        <f>40</f>
        <v/>
      </c>
      <c r="F15" s="6" t="n">
        <v>60</v>
      </c>
      <c r="G15" s="7">
        <f>E15*F15</f>
        <v/>
      </c>
      <c r="H15" s="4" t="inlineStr">
        <is>
          <t>шкафы кухни, тумба и зеркальный шкаф, ТВ</t>
        </is>
      </c>
    </row>
    <row r="16">
      <c r="A16" s="4" t="n">
        <v>12</v>
      </c>
      <c r="B16" s="4" t="inlineStr">
        <is>
          <t>Стены (черновая отделка)</t>
        </is>
      </c>
      <c r="C16" s="4" t="inlineStr">
        <is>
          <t>Штукатурка гипсовая, 30 кг</t>
        </is>
      </c>
      <c r="D16" s="4" t="inlineStr">
        <is>
          <t>мешок</t>
        </is>
      </c>
      <c r="E16" s="5">
        <f>ROUNDUP(Параметры!$C$25*9*1.1/30,0)</f>
        <v/>
      </c>
      <c r="F16" s="6" t="n">
        <v>560</v>
      </c>
      <c r="G16" s="7">
        <f>E16*F16</f>
        <v/>
      </c>
      <c r="H16" s="4" t="inlineStr">
        <is>
          <t>слой 10 мм ≈ 9 кг/м²</t>
        </is>
      </c>
    </row>
    <row r="17">
      <c r="A17" s="4" t="n">
        <v>13</v>
      </c>
      <c r="B17" s="4" t="inlineStr">
        <is>
          <t>Стены (черновая отделка)</t>
        </is>
      </c>
      <c r="C17" s="4" t="inlineStr">
        <is>
          <t>Штукатурка цементная (санузел под плитку), 25 кг</t>
        </is>
      </c>
      <c r="D17" s="4" t="inlineStr">
        <is>
          <t>мешок</t>
        </is>
      </c>
      <c r="E17" s="5">
        <f>ROUNDUP(Параметры!$C$26*15*1.1/25,0)</f>
        <v/>
      </c>
      <c r="F17" s="6" t="n">
        <v>420</v>
      </c>
      <c r="G17" s="7">
        <f>E17*F17</f>
        <v/>
      </c>
      <c r="H17" s="4" t="inlineStr">
        <is>
          <t>слой 10 мм ≈ 15 кг/м²</t>
        </is>
      </c>
    </row>
    <row r="18">
      <c r="A18" s="4" t="n">
        <v>14</v>
      </c>
      <c r="B18" s="4" t="inlineStr">
        <is>
          <t>Стены (черновая отделка)</t>
        </is>
      </c>
      <c r="C18" s="4" t="inlineStr">
        <is>
          <t>Грунт глубокого проникновения, 10 л</t>
        </is>
      </c>
      <c r="D18" s="4" t="inlineStr">
        <is>
          <t>канистра</t>
        </is>
      </c>
      <c r="E18" s="5">
        <f>ROUNDUP((Параметры!$C$12*2+Параметры!$C$13*2+Параметры!$C$20*2)*0.2/10,0)</f>
        <v/>
      </c>
      <c r="F18" s="6" t="n">
        <v>900</v>
      </c>
      <c r="G18" s="7">
        <f>E18*F18</f>
        <v/>
      </c>
      <c r="H18" s="4" t="inlineStr">
        <is>
          <t>стены с двух сторон, пол и потолок, 0,2 л/м²</t>
        </is>
      </c>
    </row>
    <row r="19">
      <c r="A19" s="4" t="n">
        <v>15</v>
      </c>
      <c r="B19" s="4" t="inlineStr">
        <is>
          <t>Полы</t>
        </is>
      </c>
      <c r="C19" s="4" t="inlineStr">
        <is>
          <t>Плёнка полиэтиленовая 200 мкм</t>
        </is>
      </c>
      <c r="D19" s="4" t="inlineStr">
        <is>
          <t>м²</t>
        </is>
      </c>
      <c r="E19" s="5">
        <f>ROUNDUP(Параметры!$C$20*1.2,0)</f>
        <v/>
      </c>
      <c r="F19" s="6" t="n">
        <v>30</v>
      </c>
      <c r="G19" s="7">
        <f>E19*F19</f>
        <v/>
      </c>
      <c r="H19" s="4" t="inlineStr">
        <is>
          <t>с нахлёстом и заходом на стены</t>
        </is>
      </c>
    </row>
    <row r="20">
      <c r="A20" s="4" t="n">
        <v>16</v>
      </c>
      <c r="B20" s="4" t="inlineStr">
        <is>
          <t>Полы</t>
        </is>
      </c>
      <c r="C20" s="4" t="inlineStr">
        <is>
          <t>Смесь для стяжки (ЦПС М150–М200), 40 кг</t>
        </is>
      </c>
      <c r="D20" s="4" t="inlineStr">
        <is>
          <t>мешок</t>
        </is>
      </c>
      <c r="E20" s="5">
        <f>ROUNDUP(Параметры!$C$20*Параметры!$C$21*2000*1.05/40,0)</f>
        <v/>
      </c>
      <c r="F20" s="6" t="n">
        <v>300</v>
      </c>
      <c r="G20" s="7">
        <f>E20*F20</f>
        <v/>
      </c>
      <c r="H20" s="4" t="inlineStr">
        <is>
          <t>≈ 2 т/м³ + 5 %; при машинной полусухой стяжке — песок и цемент</t>
        </is>
      </c>
    </row>
    <row r="21">
      <c r="A21" s="4" t="n">
        <v>17</v>
      </c>
      <c r="B21" s="4" t="inlineStr">
        <is>
          <t>Полы</t>
        </is>
      </c>
      <c r="C21" s="4" t="inlineStr">
        <is>
          <t>Фиброволокно</t>
        </is>
      </c>
      <c r="D21" s="4" t="inlineStr">
        <is>
          <t>кг</t>
        </is>
      </c>
      <c r="E21" s="5">
        <f>ROUNDUP(Параметры!$C$20*Параметры!$C$21*0.6,0)</f>
        <v/>
      </c>
      <c r="F21" s="6" t="n">
        <v>400</v>
      </c>
      <c r="G21" s="7">
        <f>E21*F21</f>
        <v/>
      </c>
      <c r="H21" s="4" t="inlineStr">
        <is>
          <t>0,6 кг/м³</t>
        </is>
      </c>
    </row>
    <row r="22">
      <c r="A22" s="4" t="n">
        <v>18</v>
      </c>
      <c r="B22" s="4" t="inlineStr">
        <is>
          <t>Полы</t>
        </is>
      </c>
      <c r="C22" s="4" t="inlineStr">
        <is>
          <t>Лента демпферная пола 10 × 100 мм</t>
        </is>
      </c>
      <c r="D22" s="4" t="inlineStr">
        <is>
          <t>м</t>
        </is>
      </c>
      <c r="E22" s="5">
        <f>ROUNDUP(Параметры!$C$22*1.1,0)</f>
        <v/>
      </c>
      <c r="F22" s="6" t="n">
        <v>22</v>
      </c>
      <c r="G22" s="7">
        <f>E22*F22</f>
        <v/>
      </c>
      <c r="H22" s="4" t="inlineStr">
        <is>
          <t>по периметру всех помещений</t>
        </is>
      </c>
    </row>
    <row r="23">
      <c r="A23" s="4" t="n">
        <v>19</v>
      </c>
      <c r="B23" s="4" t="inlineStr">
        <is>
          <t>Полы</t>
        </is>
      </c>
      <c r="C23" s="4" t="inlineStr">
        <is>
          <t>Гидроизоляция обмазочная, 15 кг</t>
        </is>
      </c>
      <c r="D23" s="4" t="inlineStr">
        <is>
          <t>ведро</t>
        </is>
      </c>
      <c r="E23" s="5">
        <f>ROUNDUP(Параметры!$C$28*3*1.1/15,0)</f>
        <v/>
      </c>
      <c r="F23" s="6" t="n">
        <v>3500</v>
      </c>
      <c r="G23" s="7">
        <f>E23*F23</f>
        <v/>
      </c>
      <c r="H23" s="4" t="inlineStr">
        <is>
          <t>2 слоя ≈ 3 кг/м²</t>
        </is>
      </c>
    </row>
    <row r="24">
      <c r="A24" s="4" t="n">
        <v>20</v>
      </c>
      <c r="B24" s="4" t="inlineStr">
        <is>
          <t>Полы</t>
        </is>
      </c>
      <c r="C24" s="4" t="inlineStr">
        <is>
          <t>Лента гидроизоляционная для углов</t>
        </is>
      </c>
      <c r="D24" s="4" t="inlineStr">
        <is>
          <t>м</t>
        </is>
      </c>
      <c r="E24" s="5">
        <f>15</f>
        <v/>
      </c>
      <c r="F24" s="6" t="n">
        <v>120</v>
      </c>
      <c r="G24" s="7">
        <f>E24*F24</f>
        <v/>
      </c>
      <c r="H24" s="4" t="inlineStr">
        <is>
          <t>углы пола и душа</t>
        </is>
      </c>
    </row>
    <row r="25">
      <c r="A25" s="4" t="n">
        <v>21</v>
      </c>
      <c r="B25" s="4" t="inlineStr">
        <is>
          <t>Полы</t>
        </is>
      </c>
      <c r="C25" s="4" t="inlineStr">
        <is>
          <t>Манжеты гидроизоляционные на выводы</t>
        </is>
      </c>
      <c r="D25" s="4" t="inlineStr">
        <is>
          <t>шт.</t>
        </is>
      </c>
      <c r="E25" s="5">
        <f>6</f>
        <v/>
      </c>
      <c r="F25" s="6" t="n">
        <v>200</v>
      </c>
      <c r="G25" s="7">
        <f>E25*F25</f>
        <v/>
      </c>
      <c r="H25" s="4" t="inlineStr">
        <is>
          <t>вода, трап, канализация</t>
        </is>
      </c>
    </row>
    <row r="26">
      <c r="A26" s="4" t="n">
        <v>22</v>
      </c>
      <c r="B26" s="4" t="inlineStr">
        <is>
          <t>Полы</t>
        </is>
      </c>
      <c r="C26" s="4" t="inlineStr">
        <is>
          <t>Поддон под плитку 900×1200 с трапом-щелью 1200</t>
        </is>
      </c>
      <c r="D26" s="4" t="inlineStr">
        <is>
          <t>компл.</t>
        </is>
      </c>
      <c r="E26" s="5">
        <f>1</f>
        <v/>
      </c>
      <c r="F26" s="6" t="n">
        <v>25000</v>
      </c>
      <c r="G26" s="7">
        <f>E26*F26</f>
        <v/>
      </c>
      <c r="H26" s="4" t="inlineStr">
        <is>
          <t>верх +30…40 мм, выпуск у колонны</t>
        </is>
      </c>
    </row>
    <row r="27">
      <c r="A27" s="4" t="n">
        <v>23</v>
      </c>
      <c r="B27" s="4" t="inlineStr">
        <is>
          <t>Полы</t>
        </is>
      </c>
      <c r="C27" s="4" t="inlineStr">
        <is>
          <t>Мат нагревательный (пол санузла, пол и стены душа)</t>
        </is>
      </c>
      <c r="D27" s="4" t="inlineStr">
        <is>
          <t>м²</t>
        </is>
      </c>
      <c r="E27" s="5">
        <f>Параметры!$C$29+Параметры!$C$30+Параметры!$C$31</f>
        <v/>
      </c>
      <c r="F27" s="6" t="n">
        <v>3500</v>
      </c>
      <c r="G27" s="7">
        <f>E27*F27</f>
        <v/>
      </c>
      <c r="H27" s="4" t="inlineStr">
        <is>
          <t>две линии: ТП и ТД</t>
        </is>
      </c>
    </row>
    <row r="28">
      <c r="A28" s="4" t="n">
        <v>24</v>
      </c>
      <c r="B28" s="4" t="inlineStr">
        <is>
          <t>Полы</t>
        </is>
      </c>
      <c r="C28" s="4" t="inlineStr">
        <is>
          <t>Терморегулятор с датчиком пола</t>
        </is>
      </c>
      <c r="D28" s="4" t="inlineStr">
        <is>
          <t>шт.</t>
        </is>
      </c>
      <c r="E28" s="5">
        <f>2</f>
        <v/>
      </c>
      <c r="F28" s="6" t="n">
        <v>4000</v>
      </c>
      <c r="G28" s="7">
        <f>E28*F28</f>
        <v/>
      </c>
      <c r="H28" s="4" t="inlineStr">
        <is>
          <t>ТП — санузел, ТД — душ</t>
        </is>
      </c>
    </row>
    <row r="29">
      <c r="A29" s="4" t="n">
        <v>25</v>
      </c>
      <c r="B29" s="4" t="inlineStr">
        <is>
          <t>Полы</t>
        </is>
      </c>
      <c r="C29" s="4" t="inlineStr">
        <is>
          <t>Керамогранит R10 на пол (санузел, коридор)</t>
        </is>
      </c>
      <c r="D29" s="4" t="inlineStr">
        <is>
          <t>м²</t>
        </is>
      </c>
      <c r="E29" s="5">
        <f>ROUNDUP((Параметры!$C$19+Параметры!$C$18)*1.1,1)</f>
        <v/>
      </c>
      <c r="F29" s="6" t="n">
        <v>1800</v>
      </c>
      <c r="G29" s="7">
        <f>E29*F29</f>
        <v/>
      </c>
      <c r="H29" s="4" t="inlineStr">
        <is>
          <t>+10 % на подрезку</t>
        </is>
      </c>
    </row>
    <row r="30">
      <c r="A30" s="4" t="n">
        <v>26</v>
      </c>
      <c r="B30" s="4" t="inlineStr">
        <is>
          <t>Полы</t>
        </is>
      </c>
      <c r="C30" s="4" t="inlineStr">
        <is>
          <t>Плитка настенная санузла</t>
        </is>
      </c>
      <c r="D30" s="4" t="inlineStr">
        <is>
          <t>м²</t>
        </is>
      </c>
      <c r="E30" s="5">
        <f>ROUNDUP(Параметры!$C$27*1.1,1)</f>
        <v/>
      </c>
      <c r="F30" s="6" t="n">
        <v>1500</v>
      </c>
      <c r="G30" s="7">
        <f>E30*F30</f>
        <v/>
      </c>
      <c r="H30" s="4" t="inlineStr">
        <is>
          <t>+10 % на подрезку</t>
        </is>
      </c>
    </row>
    <row r="31">
      <c r="A31" s="4" t="n">
        <v>27</v>
      </c>
      <c r="B31" s="4" t="inlineStr">
        <is>
          <t>Полы</t>
        </is>
      </c>
      <c r="C31" s="4" t="inlineStr">
        <is>
          <t>Клей плиточный C2, 25 кг</t>
        </is>
      </c>
      <c r="D31" s="4" t="inlineStr">
        <is>
          <t>мешок</t>
        </is>
      </c>
      <c r="E31" s="5">
        <f>ROUNDUP(((Параметры!$C$19+Параметры!$C$18)*5+Параметры!$C$27*5+Параметры!$C$19*2)*1.1/25,0)</f>
        <v/>
      </c>
      <c r="F31" s="6" t="n">
        <v>650</v>
      </c>
      <c r="G31" s="7">
        <f>E31*F31</f>
        <v/>
      </c>
      <c r="H31" s="4" t="inlineStr">
        <is>
          <t>5 кг/м², на тёплом полу толще</t>
        </is>
      </c>
    </row>
    <row r="32">
      <c r="A32" s="4" t="n">
        <v>28</v>
      </c>
      <c r="B32" s="4" t="inlineStr">
        <is>
          <t>Полы</t>
        </is>
      </c>
      <c r="C32" s="4" t="inlineStr">
        <is>
          <t>Затирка, 2 кг</t>
        </is>
      </c>
      <c r="D32" s="4" t="inlineStr">
        <is>
          <t>упаковка</t>
        </is>
      </c>
      <c r="E32" s="5">
        <f>ROUNDUP((Параметры!$C$19+Параметры!$C$18+Параметры!$C$27)*0.4/2,0)</f>
        <v/>
      </c>
      <c r="F32" s="6" t="n">
        <v>500</v>
      </c>
      <c r="G32" s="7">
        <f>E32*F32</f>
        <v/>
      </c>
      <c r="H32" s="4" t="inlineStr">
        <is>
          <t>≈ 0,4 кг/м²</t>
        </is>
      </c>
    </row>
    <row r="33">
      <c r="A33" s="4" t="n">
        <v>29</v>
      </c>
      <c r="B33" s="4" t="inlineStr">
        <is>
          <t>Полы</t>
        </is>
      </c>
      <c r="C33" s="4" t="inlineStr">
        <is>
          <t>Ламинат 33 класса или инженерная доска</t>
        </is>
      </c>
      <c r="D33" s="4" t="inlineStr">
        <is>
          <t>м²</t>
        </is>
      </c>
      <c r="E33" s="5">
        <f>ROUNDUP((Параметры!$C$16+Параметры!$C$17)*1.07,1)</f>
        <v/>
      </c>
      <c r="F33" s="6" t="n">
        <v>1800</v>
      </c>
      <c r="G33" s="7">
        <f>E33*F33</f>
        <v/>
      </c>
      <c r="H33" s="4" t="inlineStr">
        <is>
          <t>+7 %</t>
        </is>
      </c>
    </row>
    <row r="34">
      <c r="A34" s="4" t="n">
        <v>30</v>
      </c>
      <c r="B34" s="4" t="inlineStr">
        <is>
          <t>Полы</t>
        </is>
      </c>
      <c r="C34" s="4" t="inlineStr">
        <is>
          <t>Подложка 2–3 мм</t>
        </is>
      </c>
      <c r="D34" s="4" t="inlineStr">
        <is>
          <t>м²</t>
        </is>
      </c>
      <c r="E34" s="5">
        <f>ROUNDUP((Параметры!$C$16+Параметры!$C$17)*1.05,0)</f>
        <v/>
      </c>
      <c r="F34" s="6" t="n">
        <v>150</v>
      </c>
      <c r="G34" s="7">
        <f>E34*F34</f>
        <v/>
      </c>
      <c r="H34" s="4" t="inlineStr"/>
    </row>
    <row r="35">
      <c r="A35" s="4" t="n">
        <v>31</v>
      </c>
      <c r="B35" s="4" t="inlineStr">
        <is>
          <t>Полы</t>
        </is>
      </c>
      <c r="C35" s="4" t="inlineStr">
        <is>
          <t>Плинтус 2,5 м</t>
        </is>
      </c>
      <c r="D35" s="4" t="inlineStr">
        <is>
          <t>шт.</t>
        </is>
      </c>
      <c r="E35" s="5">
        <f>ROUNDUP(Параметры!$C$23*1.1/2.5,0)</f>
        <v/>
      </c>
      <c r="F35" s="6" t="n">
        <v>450</v>
      </c>
      <c r="G35" s="7">
        <f>E35*F35</f>
        <v/>
      </c>
      <c r="H35" s="4" t="inlineStr">
        <is>
          <t>+10 %</t>
        </is>
      </c>
    </row>
    <row r="36">
      <c r="A36" s="4" t="n">
        <v>32</v>
      </c>
      <c r="B36" s="4" t="inlineStr">
        <is>
          <t>Полы</t>
        </is>
      </c>
      <c r="C36" s="4" t="inlineStr">
        <is>
          <t>Профиль стыковочный (порог в одном уровне)</t>
        </is>
      </c>
      <c r="D36" s="4" t="inlineStr">
        <is>
          <t>шт.</t>
        </is>
      </c>
      <c r="E36" s="5">
        <f>3</f>
        <v/>
      </c>
      <c r="F36" s="6" t="n">
        <v>500</v>
      </c>
      <c r="G36" s="7">
        <f>E36*F36</f>
        <v/>
      </c>
      <c r="H36" s="4" t="inlineStr">
        <is>
          <t>коридор — кухня, спальня, санузел</t>
        </is>
      </c>
    </row>
    <row r="37">
      <c r="A37" s="4" t="n">
        <v>33</v>
      </c>
      <c r="B37" s="4" t="inlineStr">
        <is>
          <t>Потолки</t>
        </is>
      </c>
      <c r="C37" s="4" t="inlineStr">
        <is>
          <t>ГКЛ 12,5 мм 1200×2500</t>
        </is>
      </c>
      <c r="D37" s="4" t="inlineStr">
        <is>
          <t>лист</t>
        </is>
      </c>
      <c r="E37" s="5">
        <f>ROUNDUP((Параметры!$C$16+Параметры!$C$17+Параметры!$C$18+Параметры!$C$32+Параметры!$C$24*0.1+Параметры!$C$33*0.6)*1.15/3,0)</f>
        <v/>
      </c>
      <c r="F37" s="6" t="n">
        <v>480</v>
      </c>
      <c r="G37" s="7">
        <f>E37*F37</f>
        <v/>
      </c>
      <c r="H37" s="4" t="inlineStr">
        <is>
          <t>потолок + острова с бортами + короб, +15 %</t>
        </is>
      </c>
    </row>
    <row r="38">
      <c r="A38" s="4" t="n">
        <v>34</v>
      </c>
      <c r="B38" s="4" t="inlineStr">
        <is>
          <t>Потолки</t>
        </is>
      </c>
      <c r="C38" s="4" t="inlineStr">
        <is>
          <t>ГКЛВ 12,5 мм 1200×2500 (санузел)</t>
        </is>
      </c>
      <c r="D38" s="4" t="inlineStr">
        <is>
          <t>лист</t>
        </is>
      </c>
      <c r="E38" s="5">
        <f>ROUNDUP((Параметры!$C$19+1.2)*1.15/3,0)</f>
        <v/>
      </c>
      <c r="F38" s="6" t="n">
        <v>580</v>
      </c>
      <c r="G38" s="7">
        <f>E38*F38</f>
        <v/>
      </c>
      <c r="H38" s="4" t="inlineStr">
        <is>
          <t>потолок + стенки ниши душа, +15 %</t>
        </is>
      </c>
    </row>
    <row r="39">
      <c r="A39" s="4" t="n">
        <v>35</v>
      </c>
      <c r="B39" s="4" t="inlineStr">
        <is>
          <t>Потолки</t>
        </is>
      </c>
      <c r="C39" s="4" t="inlineStr">
        <is>
          <t>Профиль ПП 60×27, 3 м</t>
        </is>
      </c>
      <c r="D39" s="4" t="inlineStr">
        <is>
          <t>шт.</t>
        </is>
      </c>
      <c r="E39" s="5">
        <f>ROUNDUP(Параметры!$C$20*3.2/3,0)</f>
        <v/>
      </c>
      <c r="F39" s="6" t="n">
        <v>230</v>
      </c>
      <c r="G39" s="7">
        <f>E39*F39</f>
        <v/>
      </c>
      <c r="H39" s="4" t="inlineStr">
        <is>
          <t>≈ 3,2 м/м²</t>
        </is>
      </c>
    </row>
    <row r="40">
      <c r="A40" s="4" t="n">
        <v>36</v>
      </c>
      <c r="B40" s="4" t="inlineStr">
        <is>
          <t>Потолки</t>
        </is>
      </c>
      <c r="C40" s="4" t="inlineStr">
        <is>
          <t>Профиль ППН 28×27, 3 м</t>
        </is>
      </c>
      <c r="D40" s="4" t="inlineStr">
        <is>
          <t>шт.</t>
        </is>
      </c>
      <c r="E40" s="5">
        <f>ROUNDUP((Параметры!$C$22+Параметры!$C$24)*1.1/3,0)</f>
        <v/>
      </c>
      <c r="F40" s="6" t="n">
        <v>170</v>
      </c>
      <c r="G40" s="7">
        <f>E40*F40</f>
        <v/>
      </c>
      <c r="H40" s="4" t="inlineStr">
        <is>
          <t>периметр + ниши</t>
        </is>
      </c>
    </row>
    <row r="41">
      <c r="A41" s="4" t="n">
        <v>37</v>
      </c>
      <c r="B41" s="4" t="inlineStr">
        <is>
          <t>Потолки</t>
        </is>
      </c>
      <c r="C41" s="4" t="inlineStr">
        <is>
          <t>Профиль теневой для потолка (зазор у стен)</t>
        </is>
      </c>
      <c r="D41" s="4" t="inlineStr">
        <is>
          <t>м</t>
        </is>
      </c>
      <c r="E41" s="5">
        <f>ROUNDUP((Параметры!$C$22-11)*1.05,0)</f>
        <v/>
      </c>
      <c r="F41" s="6" t="n">
        <v>300</v>
      </c>
      <c r="G41" s="7">
        <f>E41*F41</f>
        <v/>
      </c>
      <c r="H41" s="4" t="inlineStr">
        <is>
          <t>кухня, спальня, коридор</t>
        </is>
      </c>
    </row>
    <row r="42">
      <c r="A42" s="4" t="n">
        <v>38</v>
      </c>
      <c r="B42" s="4" t="inlineStr">
        <is>
          <t>Потолки</t>
        </is>
      </c>
      <c r="C42" s="4" t="inlineStr">
        <is>
          <t>Профиль арочный (гибкий) для круглого острова</t>
        </is>
      </c>
      <c r="D42" s="4" t="inlineStr">
        <is>
          <t>шт.</t>
        </is>
      </c>
      <c r="E42" s="5">
        <f>2</f>
        <v/>
      </c>
      <c r="F42" s="6" t="n">
        <v>600</v>
      </c>
      <c r="G42" s="7">
        <f>E42*F42</f>
        <v/>
      </c>
      <c r="H42" s="4" t="inlineStr">
        <is>
          <t>остров ø1200 на кухне</t>
        </is>
      </c>
    </row>
    <row r="43">
      <c r="A43" s="4" t="n">
        <v>39</v>
      </c>
      <c r="B43" s="4" t="inlineStr">
        <is>
          <t>Потолки</t>
        </is>
      </c>
      <c r="C43" s="4" t="inlineStr">
        <is>
          <t>Подвес прямой</t>
        </is>
      </c>
      <c r="D43" s="4" t="inlineStr">
        <is>
          <t>шт.</t>
        </is>
      </c>
      <c r="E43" s="5">
        <f>ROUNDUP(Параметры!$C$20*1.3,0)</f>
        <v/>
      </c>
      <c r="F43" s="6" t="n">
        <v>15</v>
      </c>
      <c r="G43" s="7">
        <f>E43*F43</f>
        <v/>
      </c>
      <c r="H43" s="4" t="inlineStr">
        <is>
          <t>≈ 1,3 шт./м²</t>
        </is>
      </c>
    </row>
    <row r="44">
      <c r="A44" s="4" t="n">
        <v>40</v>
      </c>
      <c r="B44" s="4" t="inlineStr">
        <is>
          <t>Потолки</t>
        </is>
      </c>
      <c r="C44" s="4" t="inlineStr">
        <is>
          <t>Соединитель «краб»</t>
        </is>
      </c>
      <c r="D44" s="4" t="inlineStr">
        <is>
          <t>шт.</t>
        </is>
      </c>
      <c r="E44" s="5">
        <f>ROUNDUP(Параметры!$C$20*1.5,0)</f>
        <v/>
      </c>
      <c r="F44" s="6" t="n">
        <v>25</v>
      </c>
      <c r="G44" s="7">
        <f>E44*F44</f>
        <v/>
      </c>
      <c r="H44" s="4" t="inlineStr"/>
    </row>
    <row r="45">
      <c r="A45" s="4" t="n">
        <v>41</v>
      </c>
      <c r="B45" s="4" t="inlineStr">
        <is>
          <t>Потолки</t>
        </is>
      </c>
      <c r="C45" s="4" t="inlineStr">
        <is>
          <t>Крепёж: дюбель-гвозди, саморезы</t>
        </is>
      </c>
      <c r="D45" s="4" t="inlineStr">
        <is>
          <t>компл.</t>
        </is>
      </c>
      <c r="E45" s="5">
        <f>1</f>
        <v/>
      </c>
      <c r="F45" s="6" t="n">
        <v>2500</v>
      </c>
      <c r="G45" s="7">
        <f>E45*F45</f>
        <v/>
      </c>
      <c r="H45" s="4" t="inlineStr"/>
    </row>
    <row r="46">
      <c r="A46" s="4" t="n">
        <v>42</v>
      </c>
      <c r="B46" s="4" t="inlineStr">
        <is>
          <t>Потолки</t>
        </is>
      </c>
      <c r="C46" s="4" t="inlineStr">
        <is>
          <t>Люк ревизионный 400×400</t>
        </is>
      </c>
      <c r="D46" s="4" t="inlineStr">
        <is>
          <t>шт.</t>
        </is>
      </c>
      <c r="E46" s="5">
        <f>1</f>
        <v/>
      </c>
      <c r="F46" s="6" t="n">
        <v>2500</v>
      </c>
      <c r="G46" s="7">
        <f>E46*F46</f>
        <v/>
      </c>
      <c r="H46" s="4" t="inlineStr">
        <is>
          <t>санузел</t>
        </is>
      </c>
    </row>
    <row r="47">
      <c r="A47" s="4" t="n">
        <v>43</v>
      </c>
      <c r="B47" s="4" t="inlineStr">
        <is>
          <t>Потолки</t>
        </is>
      </c>
      <c r="C47" s="4" t="inlineStr">
        <is>
          <t>Шпаклёвка финишная, 25 кг</t>
        </is>
      </c>
      <c r="D47" s="4" t="inlineStr">
        <is>
          <t>мешок</t>
        </is>
      </c>
      <c r="E47" s="5">
        <f>ROUNDUP((Параметры!$C$20+Параметры!$C$25)*1.2/25,0)</f>
        <v/>
      </c>
      <c r="F47" s="6" t="n">
        <v>900</v>
      </c>
      <c r="G47" s="7">
        <f>E47*F47</f>
        <v/>
      </c>
      <c r="H47" s="4" t="inlineStr">
        <is>
          <t>потолки и сухие стены, 1,2 кг/м²</t>
        </is>
      </c>
    </row>
    <row r="48">
      <c r="A48" s="4" t="n">
        <v>44</v>
      </c>
      <c r="B48" s="4" t="inlineStr">
        <is>
          <t>Потолки</t>
        </is>
      </c>
      <c r="C48" s="4" t="inlineStr">
        <is>
          <t>Серпянка, 90 м</t>
        </is>
      </c>
      <c r="D48" s="4" t="inlineStr">
        <is>
          <t>рулон</t>
        </is>
      </c>
      <c r="E48" s="5">
        <f>1</f>
        <v/>
      </c>
      <c r="F48" s="6" t="n">
        <v>350</v>
      </c>
      <c r="G48" s="7">
        <f>E48*F48</f>
        <v/>
      </c>
      <c r="H48" s="4" t="inlineStr"/>
    </row>
    <row r="49">
      <c r="A49" s="4" t="n">
        <v>45</v>
      </c>
      <c r="B49" s="4" t="inlineStr">
        <is>
          <t>Потолки</t>
        </is>
      </c>
      <c r="C49" s="4" t="inlineStr">
        <is>
          <t>Краска потолочная, 9 л</t>
        </is>
      </c>
      <c r="D49" s="4" t="inlineStr">
        <is>
          <t>ведро</t>
        </is>
      </c>
      <c r="E49" s="5">
        <f>ROUNDUP(Параметры!$C$20*2*0.15/9,0)</f>
        <v/>
      </c>
      <c r="F49" s="6" t="n">
        <v>3500</v>
      </c>
      <c r="G49" s="7">
        <f>E49*F49</f>
        <v/>
      </c>
      <c r="H49" s="4" t="inlineStr">
        <is>
          <t>2 слоя</t>
        </is>
      </c>
    </row>
    <row r="50">
      <c r="A50" s="4" t="n">
        <v>46</v>
      </c>
      <c r="B50" s="4" t="inlineStr">
        <is>
          <t>Электрика (черновая)</t>
        </is>
      </c>
      <c r="C50" s="4" t="inlineStr">
        <is>
          <t>Кабель ВВГнг-LS 3×2,5</t>
        </is>
      </c>
      <c r="D50" s="4" t="inlineStr">
        <is>
          <t>м</t>
        </is>
      </c>
      <c r="E50" s="5">
        <f>300</f>
        <v/>
      </c>
      <c r="F50" s="6" t="n">
        <v>120</v>
      </c>
      <c r="G50" s="7">
        <f>E50*F50</f>
        <v/>
      </c>
      <c r="H50" s="4" t="inlineStr">
        <is>
          <t>розеточные линии; уточнить у электрика</t>
        </is>
      </c>
    </row>
    <row r="51">
      <c r="A51" s="4" t="n">
        <v>47</v>
      </c>
      <c r="B51" s="4" t="inlineStr">
        <is>
          <t>Электрика (черновая)</t>
        </is>
      </c>
      <c r="C51" s="4" t="inlineStr">
        <is>
          <t>Кабель ВВГнг-LS 3×1,5</t>
        </is>
      </c>
      <c r="D51" s="4" t="inlineStr">
        <is>
          <t>м</t>
        </is>
      </c>
      <c r="E51" s="5">
        <f>200</f>
        <v/>
      </c>
      <c r="F51" s="6" t="n">
        <v>85</v>
      </c>
      <c r="G51" s="7">
        <f>E51*F51</f>
        <v/>
      </c>
      <c r="H51" s="4" t="inlineStr">
        <is>
          <t>свет, ночники, LED</t>
        </is>
      </c>
    </row>
    <row r="52">
      <c r="A52" s="4" t="n">
        <v>48</v>
      </c>
      <c r="B52" s="4" t="inlineStr">
        <is>
          <t>Электрика (черновая)</t>
        </is>
      </c>
      <c r="C52" s="4" t="inlineStr">
        <is>
          <t>Кабель ВВГнг-LS 3×4 (плита, духовка, стиральная, тёплый пол)</t>
        </is>
      </c>
      <c r="D52" s="4" t="inlineStr">
        <is>
          <t>м</t>
        </is>
      </c>
      <c r="E52" s="5">
        <f>40</f>
        <v/>
      </c>
      <c r="F52" s="6" t="n">
        <v>190</v>
      </c>
      <c r="G52" s="7">
        <f>E52*F52</f>
        <v/>
      </c>
      <c r="H52" s="4" t="inlineStr">
        <is>
          <t>отдельные линии</t>
        </is>
      </c>
    </row>
    <row r="53">
      <c r="A53" s="4" t="n">
        <v>49</v>
      </c>
      <c r="B53" s="4" t="inlineStr">
        <is>
          <t>Электрика (черновая)</t>
        </is>
      </c>
      <c r="C53" s="4" t="inlineStr">
        <is>
          <t>Кабель UTP cat.6 и ТВ-кабель</t>
        </is>
      </c>
      <c r="D53" s="4" t="inlineStr">
        <is>
          <t>м</t>
        </is>
      </c>
      <c r="E53" s="5">
        <f>90</f>
        <v/>
      </c>
      <c r="F53" s="6" t="n">
        <v>40</v>
      </c>
      <c r="G53" s="7">
        <f>E53*F53</f>
        <v/>
      </c>
      <c r="H53" s="4" t="inlineStr">
        <is>
          <t>роутер → ТВ ×2, домофон</t>
        </is>
      </c>
    </row>
    <row r="54">
      <c r="A54" s="4" t="n">
        <v>50</v>
      </c>
      <c r="B54" s="4" t="inlineStr">
        <is>
          <t>Электрика (черновая)</t>
        </is>
      </c>
      <c r="C54" s="4" t="inlineStr">
        <is>
          <t>Гофра / кабель-канал</t>
        </is>
      </c>
      <c r="D54" s="4" t="inlineStr">
        <is>
          <t>м</t>
        </is>
      </c>
      <c r="E54" s="5">
        <f>100</f>
        <v/>
      </c>
      <c r="F54" s="6" t="n">
        <v>25</v>
      </c>
      <c r="G54" s="7">
        <f>E54*F54</f>
        <v/>
      </c>
      <c r="H54" s="4" t="inlineStr"/>
    </row>
    <row r="55">
      <c r="A55" s="4" t="n">
        <v>51</v>
      </c>
      <c r="B55" s="4" t="inlineStr">
        <is>
          <t>Электрика (черновая)</t>
        </is>
      </c>
      <c r="C55" s="4" t="inlineStr">
        <is>
          <t>Подрозетники</t>
        </is>
      </c>
      <c r="D55" s="4" t="inlineStr">
        <is>
          <t>шт.</t>
        </is>
      </c>
      <c r="E55" s="5">
        <f>65</f>
        <v/>
      </c>
      <c r="F55" s="6" t="n">
        <v>30</v>
      </c>
      <c r="G55" s="7">
        <f>E55*F55</f>
        <v/>
      </c>
      <c r="H55" s="4" t="inlineStr">
        <is>
          <t>40 розеток, выключатели, ТВ, терморегуляторы</t>
        </is>
      </c>
    </row>
    <row r="56">
      <c r="A56" s="4" t="n">
        <v>52</v>
      </c>
      <c r="B56" s="4" t="inlineStr">
        <is>
          <t>Электрика (черновая)</t>
        </is>
      </c>
      <c r="C56" s="4" t="inlineStr">
        <is>
          <t>Розетки (механизм + рамка)</t>
        </is>
      </c>
      <c r="D56" s="4" t="inlineStr">
        <is>
          <t>шт.</t>
        </is>
      </c>
      <c r="E56" s="5">
        <f>40</f>
        <v/>
      </c>
      <c r="F56" s="6" t="n">
        <v>450</v>
      </c>
      <c r="G56" s="7">
        <f>E56*F56</f>
        <v/>
      </c>
      <c r="H56" s="4" t="inlineStr">
        <is>
          <t>по схеме, лист 6</t>
        </is>
      </c>
    </row>
    <row r="57">
      <c r="A57" s="4" t="n">
        <v>53</v>
      </c>
      <c r="B57" s="4" t="inlineStr">
        <is>
          <t>Электрика (черновая)</t>
        </is>
      </c>
      <c r="C57" s="4" t="inlineStr">
        <is>
          <t>Выключатели проходные и обычные</t>
        </is>
      </c>
      <c r="D57" s="4" t="inlineStr">
        <is>
          <t>шт.</t>
        </is>
      </c>
      <c r="E57" s="5">
        <f>9</f>
        <v/>
      </c>
      <c r="F57" s="6" t="n">
        <v>550</v>
      </c>
      <c r="G57" s="7">
        <f>E57*F57</f>
        <v/>
      </c>
      <c r="H57" s="4" t="inlineStr">
        <is>
          <t>6 проходных, 1 двухклавишный, 2 запас</t>
        </is>
      </c>
    </row>
    <row r="58">
      <c r="A58" s="4" t="n">
        <v>54</v>
      </c>
      <c r="B58" s="4" t="inlineStr">
        <is>
          <t>Электрика (черновая)</t>
        </is>
      </c>
      <c r="C58" s="4" t="inlineStr">
        <is>
          <t>Розетка ТВ + интернет</t>
        </is>
      </c>
      <c r="D58" s="4" t="inlineStr">
        <is>
          <t>шт.</t>
        </is>
      </c>
      <c r="E58" s="5">
        <f>2</f>
        <v/>
      </c>
      <c r="F58" s="6" t="n">
        <v>800</v>
      </c>
      <c r="G58" s="7">
        <f>E58*F58</f>
        <v/>
      </c>
      <c r="H58" s="4" t="inlineStr"/>
    </row>
    <row r="59">
      <c r="A59" s="4" t="n">
        <v>55</v>
      </c>
      <c r="B59" s="4" t="inlineStr">
        <is>
          <t>Электрика (черновая)</t>
        </is>
      </c>
      <c r="C59" s="4" t="inlineStr">
        <is>
          <t>Щит 36–48 модулей</t>
        </is>
      </c>
      <c r="D59" s="4" t="inlineStr">
        <is>
          <t>шт.</t>
        </is>
      </c>
      <c r="E59" s="5">
        <f>1</f>
        <v/>
      </c>
      <c r="F59" s="6" t="n">
        <v>6000</v>
      </c>
      <c r="G59" s="7">
        <f>E59*F59</f>
        <v/>
      </c>
      <c r="H59" s="4" t="inlineStr"/>
    </row>
    <row r="60">
      <c r="A60" s="4" t="n">
        <v>56</v>
      </c>
      <c r="B60" s="4" t="inlineStr">
        <is>
          <t>Электрика (черновая)</t>
        </is>
      </c>
      <c r="C60" s="4" t="inlineStr">
        <is>
          <t>Автоматы, дифавтоматы и УЗО</t>
        </is>
      </c>
      <c r="D60" s="4" t="inlineStr">
        <is>
          <t>компл.</t>
        </is>
      </c>
      <c r="E60" s="5">
        <f>1</f>
        <v/>
      </c>
      <c r="F60" s="6" t="n">
        <v>18000</v>
      </c>
      <c r="G60" s="7">
        <f>E60*F60</f>
        <v/>
      </c>
      <c r="H60" s="4" t="inlineStr">
        <is>
          <t>≈ 14–16 линий; состав — у электрика</t>
        </is>
      </c>
    </row>
    <row r="61">
      <c r="A61" s="4" t="n">
        <v>57</v>
      </c>
      <c r="B61" s="4" t="inlineStr">
        <is>
          <t>Электрика (черновая)</t>
        </is>
      </c>
      <c r="C61" s="4" t="inlineStr">
        <is>
          <t>LED-лента 24 В с профилем и рассеивателем</t>
        </is>
      </c>
      <c r="D61" s="4" t="inlineStr">
        <is>
          <t>м</t>
        </is>
      </c>
      <c r="E61" s="5">
        <f>ROUNDUP(Параметры!$C$24*1.1,0)</f>
        <v/>
      </c>
      <c r="F61" s="6" t="n">
        <v>900</v>
      </c>
      <c r="G61" s="7">
        <f>E61*F61</f>
        <v/>
      </c>
      <c r="H61" s="4" t="inlineStr">
        <is>
          <t>контуры парящих островов</t>
        </is>
      </c>
    </row>
    <row r="62">
      <c r="A62" s="4" t="n">
        <v>58</v>
      </c>
      <c r="B62" s="4" t="inlineStr">
        <is>
          <t>Электрика (черновая)</t>
        </is>
      </c>
      <c r="C62" s="4" t="inlineStr">
        <is>
          <t>LED-лента IP67 24 В с алюминиевым профилем (санузел)</t>
        </is>
      </c>
      <c r="D62" s="4" t="inlineStr">
        <is>
          <t>м</t>
        </is>
      </c>
      <c r="E62" s="5">
        <f>ROUNDUP(Параметры!$C$34*1.1,0)</f>
        <v/>
      </c>
      <c r="F62" s="6" t="n">
        <v>1500</v>
      </c>
      <c r="G62" s="7">
        <f>E62*F62</f>
        <v/>
      </c>
      <c r="H62" s="4" t="inlineStr">
        <is>
          <t>ниша душа, подсветка полки над тумбой</t>
        </is>
      </c>
    </row>
    <row r="63">
      <c r="A63" s="4" t="n">
        <v>59</v>
      </c>
      <c r="B63" s="4" t="inlineStr">
        <is>
          <t>Электрика (черновая)</t>
        </is>
      </c>
      <c r="C63" s="4" t="inlineStr">
        <is>
          <t>Светильник линейный встраиваемый IP44, ≈ 1,3 м</t>
        </is>
      </c>
      <c r="D63" s="4" t="inlineStr">
        <is>
          <t>шт.</t>
        </is>
      </c>
      <c r="E63" s="5">
        <f>1</f>
        <v/>
      </c>
      <c r="F63" s="6" t="n">
        <v>7000</v>
      </c>
      <c r="G63" s="7">
        <f>E63*F63</f>
        <v/>
      </c>
      <c r="H63" s="4" t="inlineStr">
        <is>
          <t>потолок санузла по оси</t>
        </is>
      </c>
    </row>
    <row r="64">
      <c r="A64" s="4" t="n">
        <v>60</v>
      </c>
      <c r="B64" s="4" t="inlineStr">
        <is>
          <t>Электрика (черновая)</t>
        </is>
      </c>
      <c r="C64" s="4" t="inlineStr">
        <is>
          <t>Блоки питания и диммеры для LED</t>
        </is>
      </c>
      <c r="D64" s="4" t="inlineStr">
        <is>
          <t>компл.</t>
        </is>
      </c>
      <c r="E64" s="5">
        <f>5</f>
        <v/>
      </c>
      <c r="F64" s="6" t="n">
        <v>3500</v>
      </c>
      <c r="G64" s="7">
        <f>E64*F64</f>
        <v/>
      </c>
      <c r="H64" s="4" t="inlineStr">
        <is>
          <t>кухня, спальня, коридор, санузел ×2 (вне мокрой зоны)</t>
        </is>
      </c>
    </row>
    <row r="65">
      <c r="A65" s="4" t="n">
        <v>61</v>
      </c>
      <c r="B65" s="4" t="inlineStr">
        <is>
          <t>Электрика (черновая)</t>
        </is>
      </c>
      <c r="C65" s="4" t="inlineStr">
        <is>
          <t>Ночники с датчиком движения</t>
        </is>
      </c>
      <c r="D65" s="4" t="inlineStr">
        <is>
          <t>шт.</t>
        </is>
      </c>
      <c r="E65" s="5">
        <f>5</f>
        <v/>
      </c>
      <c r="F65" s="6" t="n">
        <v>1500</v>
      </c>
      <c r="G65" s="7">
        <f>E65*F65</f>
        <v/>
      </c>
      <c r="H65" s="4" t="inlineStr">
        <is>
          <t>маршрут спальня → санузел</t>
        </is>
      </c>
    </row>
    <row r="66">
      <c r="A66" s="4" t="n">
        <v>62</v>
      </c>
      <c r="B66" s="4" t="inlineStr">
        <is>
          <t>Сантехника (черновая)</t>
        </is>
      </c>
      <c r="C66" s="4" t="inlineStr">
        <is>
          <t>Трубы водоснабжения (PEX / PPR) с фитингами</t>
        </is>
      </c>
      <c r="D66" s="4" t="inlineStr">
        <is>
          <t>м</t>
        </is>
      </c>
      <c r="E66" s="5">
        <f>30</f>
        <v/>
      </c>
      <c r="F66" s="6" t="n">
        <v>250</v>
      </c>
      <c r="G66" s="7">
        <f>E66*F66</f>
        <v/>
      </c>
      <c r="H66" s="4" t="inlineStr">
        <is>
          <t>от ввода у входа; уточнить у сантехника</t>
        </is>
      </c>
    </row>
    <row r="67">
      <c r="A67" s="4" t="n">
        <v>63</v>
      </c>
      <c r="B67" s="4" t="inlineStr">
        <is>
          <t>Сантехника (черновая)</t>
        </is>
      </c>
      <c r="C67" s="4" t="inlineStr">
        <is>
          <t>Краны шаровые, фильтры, редукторы давления</t>
        </is>
      </c>
      <c r="D67" s="4" t="inlineStr">
        <is>
          <t>компл.</t>
        </is>
      </c>
      <c r="E67" s="5">
        <f>1</f>
        <v/>
      </c>
      <c r="F67" s="6" t="n">
        <v>9000</v>
      </c>
      <c r="G67" s="7">
        <f>E67*F67</f>
        <v/>
      </c>
      <c r="H67" s="4" t="inlineStr">
        <is>
          <t>в шкафу над инсталляцией</t>
        </is>
      </c>
    </row>
    <row r="68">
      <c r="A68" s="4" t="n">
        <v>64</v>
      </c>
      <c r="B68" s="4" t="inlineStr">
        <is>
          <t>Сантехника (черновая)</t>
        </is>
      </c>
      <c r="C68" s="4" t="inlineStr">
        <is>
          <t>Защита от протечек (контроллер, 2 крана, датчики)</t>
        </is>
      </c>
      <c r="D68" s="4" t="inlineStr">
        <is>
          <t>компл.</t>
        </is>
      </c>
      <c r="E68" s="5">
        <f>1</f>
        <v/>
      </c>
      <c r="F68" s="6" t="n">
        <v>18000</v>
      </c>
      <c r="G68" s="7">
        <f>E68*F68</f>
        <v/>
      </c>
      <c r="H68" s="4" t="inlineStr"/>
    </row>
    <row r="69">
      <c r="A69" s="4" t="n">
        <v>65</v>
      </c>
      <c r="B69" s="4" t="inlineStr">
        <is>
          <t>Сантехника (черновая)</t>
        </is>
      </c>
      <c r="C69" s="4" t="inlineStr">
        <is>
          <t>Канализация ø50 с фитингами</t>
        </is>
      </c>
      <c r="D69" s="4" t="inlineStr">
        <is>
          <t>м</t>
        </is>
      </c>
      <c r="E69" s="5">
        <f>12</f>
        <v/>
      </c>
      <c r="F69" s="6" t="n">
        <v>200</v>
      </c>
      <c r="G69" s="7">
        <f>E69*F69</f>
        <v/>
      </c>
      <c r="H69" s="4" t="inlineStr">
        <is>
          <t>мойка, раковина, стиральная, трап</t>
        </is>
      </c>
    </row>
    <row r="70">
      <c r="A70" s="4" t="n">
        <v>66</v>
      </c>
      <c r="B70" s="4" t="inlineStr">
        <is>
          <t>Сантехника (черновая)</t>
        </is>
      </c>
      <c r="C70" s="4" t="inlineStr">
        <is>
          <t>Канализация ø110 с фитингами</t>
        </is>
      </c>
      <c r="D70" s="4" t="inlineStr">
        <is>
          <t>м</t>
        </is>
      </c>
      <c r="E70" s="5">
        <f>2</f>
        <v/>
      </c>
      <c r="F70" s="6" t="n">
        <v>450</v>
      </c>
      <c r="G70" s="7">
        <f>E70*F70</f>
        <v/>
      </c>
      <c r="H70" s="4" t="inlineStr">
        <is>
          <t>унитаз → стояк К1</t>
        </is>
      </c>
    </row>
    <row r="71">
      <c r="A71" s="4" t="n">
        <v>67</v>
      </c>
      <c r="B71" s="4" t="inlineStr">
        <is>
          <t>Сантехника (черновая)</t>
        </is>
      </c>
      <c r="C71" s="4" t="inlineStr">
        <is>
          <t>Инсталляция для подвесного унитаза со скрытым бачком</t>
        </is>
      </c>
      <c r="D71" s="4" t="inlineStr">
        <is>
          <t>шт.</t>
        </is>
      </c>
      <c r="E71" s="5">
        <f>1</f>
        <v/>
      </c>
      <c r="F71" s="6" t="n">
        <v>15000</v>
      </c>
      <c r="G71" s="7">
        <f>E71*F71</f>
        <v/>
      </c>
      <c r="H71" s="4" t="inlineStr">
        <is>
          <t>если не входит в комплект унитаза</t>
        </is>
      </c>
    </row>
    <row r="73">
      <c r="C73" s="8" t="inlineStr">
        <is>
          <t>Итого по разделам</t>
        </is>
      </c>
    </row>
    <row r="74">
      <c r="C74" s="9" t="inlineStr">
        <is>
          <t>Перегородки</t>
        </is>
      </c>
      <c r="G74" s="10">
        <f>SUMIF($B$5:$B$71,C74,$G$5:$G$71)</f>
        <v/>
      </c>
    </row>
    <row r="75">
      <c r="C75" s="9" t="inlineStr">
        <is>
          <t>Стены (черновая отделка)</t>
        </is>
      </c>
      <c r="G75" s="10">
        <f>SUMIF($B$5:$B$71,C75,$G$5:$G$71)</f>
        <v/>
      </c>
    </row>
    <row r="76">
      <c r="C76" s="9" t="inlineStr">
        <is>
          <t>Полы</t>
        </is>
      </c>
      <c r="G76" s="10">
        <f>SUMIF($B$5:$B$71,C76,$G$5:$G$71)</f>
        <v/>
      </c>
    </row>
    <row r="77">
      <c r="C77" s="9" t="inlineStr">
        <is>
          <t>Потолки</t>
        </is>
      </c>
      <c r="G77" s="10">
        <f>SUMIF($B$5:$B$71,C77,$G$5:$G$71)</f>
        <v/>
      </c>
    </row>
    <row r="78">
      <c r="C78" s="9" t="inlineStr">
        <is>
          <t>Электрика (черновая)</t>
        </is>
      </c>
      <c r="G78" s="10">
        <f>SUMIF($B$5:$B$71,C78,$G$5:$G$71)</f>
        <v/>
      </c>
    </row>
    <row r="79">
      <c r="C79" s="9" t="inlineStr">
        <is>
          <t>Сантехника (черновая)</t>
        </is>
      </c>
      <c r="G79" s="10">
        <f>SUMIF($B$5:$B$71,C79,$G$5:$G$71)</f>
        <v/>
      </c>
    </row>
    <row r="80">
      <c r="C80" s="8" t="inlineStr">
        <is>
          <t>Материалы, всего</t>
        </is>
      </c>
      <c r="G80" s="11">
        <f>SUM(G74:G79)</f>
        <v/>
      </c>
    </row>
    <row r="81">
      <c r="C81" s="9" t="inlineStr">
        <is>
          <t>Доставка, подъём, непредвиденное</t>
        </is>
      </c>
      <c r="F81" s="12" t="n">
        <v>0.1</v>
      </c>
      <c r="G81" s="10">
        <f>G80*F81</f>
        <v/>
      </c>
    </row>
    <row r="82">
      <c r="C82" s="13" t="inlineStr">
        <is>
          <t>ИТОГО с запасом</t>
        </is>
      </c>
      <c r="G82" s="14">
        <f>G80+G81</f>
        <v/>
      </c>
    </row>
    <row r="84">
      <c r="A84" s="2" t="inlineStr">
        <is>
          <t>Не входит: работа, двери, сантехприборы, техника, мебель, чистовая электрофурнитура премиум-класса — см. «Чек-лист покупок».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62" customWidth="1" min="2" max="2"/>
    <col width="12" customWidth="1" min="3" max="3"/>
    <col width="7" customWidth="1" min="4" max="4"/>
    <col width="70" customWidth="1" min="5" max="5"/>
  </cols>
  <sheetData>
    <row r="1">
      <c r="A1" s="8" t="inlineStr">
        <is>
          <t>Исходные размеры для сметы (из рабочих чертежей). Синие значения можно менять — смета пересчитается.</t>
        </is>
      </c>
    </row>
    <row r="3">
      <c r="A3" s="15" t="inlineStr">
        <is>
          <t>Ключ</t>
        </is>
      </c>
      <c r="B3" s="15" t="inlineStr">
        <is>
          <t>Параметр</t>
        </is>
      </c>
      <c r="C3" s="15" t="inlineStr">
        <is>
          <t>Значение</t>
        </is>
      </c>
      <c r="D3" s="15" t="inlineStr">
        <is>
          <t>Ед.</t>
        </is>
      </c>
      <c r="E3" s="15" t="inlineStr">
        <is>
          <t>Откуда</t>
        </is>
      </c>
    </row>
    <row r="4">
      <c r="A4" s="9" t="inlineStr">
        <is>
          <t>H</t>
        </is>
      </c>
      <c r="B4" s="9" t="inlineStr">
        <is>
          <t>Высота перегородок (плита — плита)</t>
        </is>
      </c>
      <c r="C4" s="16" t="n">
        <v>3</v>
      </c>
      <c r="D4" s="9" t="inlineStr">
        <is>
          <t>м</t>
        </is>
      </c>
      <c r="E4" s="9" t="inlineStr">
        <is>
          <t>ожидается ≈ 3,0 м, уточнить обмером</t>
        </is>
      </c>
    </row>
    <row r="5">
      <c r="A5" s="9" t="inlineStr">
        <is>
          <t>L1</t>
        </is>
      </c>
      <c r="B5" s="9" t="inlineStr">
        <is>
          <t>П1 санузел / коридор, длина</t>
        </is>
      </c>
      <c r="C5" s="16" t="n">
        <v>1.81</v>
      </c>
      <c r="D5" s="9" t="inlineStr">
        <is>
          <t>м</t>
        </is>
      </c>
      <c r="E5" s="9" t="inlineStr">
        <is>
          <t>лист 2</t>
        </is>
      </c>
    </row>
    <row r="6">
      <c r="A6" s="9" t="inlineStr">
        <is>
          <t>L2</t>
        </is>
      </c>
      <c r="B6" s="9" t="inlineStr">
        <is>
          <t>П2 санузел / кухня, длина</t>
        </is>
      </c>
      <c r="C6" s="16" t="n">
        <v>3.05</v>
      </c>
      <c r="D6" s="9" t="inlineStr">
        <is>
          <t>м</t>
        </is>
      </c>
      <c r="E6" s="9" t="inlineStr">
        <is>
          <t>лист 2</t>
        </is>
      </c>
    </row>
    <row r="7">
      <c r="A7" s="9" t="inlineStr">
        <is>
          <t>L3</t>
        </is>
      </c>
      <c r="B7" s="9" t="inlineStr">
        <is>
          <t>П3 уступ у входа, длина</t>
        </is>
      </c>
      <c r="C7" s="16" t="n">
        <v>0.61</v>
      </c>
      <c r="D7" s="9" t="inlineStr">
        <is>
          <t>м</t>
        </is>
      </c>
      <c r="E7" s="9" t="inlineStr">
        <is>
          <t>лист 2</t>
        </is>
      </c>
    </row>
    <row r="8">
      <c r="A8" s="9" t="inlineStr">
        <is>
          <t>L5</t>
        </is>
      </c>
      <c r="B8" s="9" t="inlineStr">
        <is>
          <t>П5 ниша / спальня, длина</t>
        </is>
      </c>
      <c r="C8" s="16" t="n">
        <v>0.74</v>
      </c>
      <c r="D8" s="9" t="inlineStr">
        <is>
          <t>м</t>
        </is>
      </c>
      <c r="E8" s="9" t="inlineStr">
        <is>
          <t>лист 2</t>
        </is>
      </c>
    </row>
    <row r="9">
      <c r="A9" s="9" t="inlineStr">
        <is>
          <t>L4</t>
        </is>
      </c>
      <c r="B9" s="9" t="inlineStr">
        <is>
          <t>П4 коридор, кухня / спальня, длина (150 мм)</t>
        </is>
      </c>
      <c r="C9" s="16" t="n">
        <v>4.25</v>
      </c>
      <c r="D9" s="9" t="inlineStr">
        <is>
          <t>м</t>
        </is>
      </c>
      <c r="E9" s="9" t="inlineStr">
        <is>
          <t>лист 2</t>
        </is>
      </c>
    </row>
    <row r="10">
      <c r="A10" s="9" t="inlineStr">
        <is>
          <t>OW</t>
        </is>
      </c>
      <c r="B10" s="9" t="inlineStr">
        <is>
          <t>Проём под дверь 700: ширина</t>
        </is>
      </c>
      <c r="C10" s="16" t="n">
        <v>0.78</v>
      </c>
      <c r="D10" s="9" t="inlineStr">
        <is>
          <t>м</t>
        </is>
      </c>
      <c r="E10" s="9" t="inlineStr">
        <is>
          <t>лист 7</t>
        </is>
      </c>
    </row>
    <row r="11">
      <c r="A11" s="9" t="inlineStr">
        <is>
          <t>OH</t>
        </is>
      </c>
      <c r="B11" s="9" t="inlineStr">
        <is>
          <t>Проём под дверь 700: высота</t>
        </is>
      </c>
      <c r="C11" s="16" t="n">
        <v>2.07</v>
      </c>
      <c r="D11" s="9" t="inlineStr">
        <is>
          <t>м</t>
        </is>
      </c>
      <c r="E11" s="9" t="inlineStr">
        <is>
          <t>лист 7</t>
        </is>
      </c>
    </row>
    <row r="12">
      <c r="A12" s="9" t="inlineStr">
        <is>
          <t>A100</t>
        </is>
      </c>
      <c r="B12" s="9" t="inlineStr">
        <is>
          <t>Площадь кладки 100 мм (П1, П2, П3, П5) за вычетом проёма</t>
        </is>
      </c>
      <c r="C12" s="17">
        <f>(C5+C6+C7+C8)*C4-C10*C11</f>
        <v/>
      </c>
      <c r="D12" s="9" t="inlineStr">
        <is>
          <t>м²</t>
        </is>
      </c>
      <c r="E12" s="9" t="inlineStr">
        <is>
          <t>формула</t>
        </is>
      </c>
    </row>
    <row r="13">
      <c r="A13" s="9" t="inlineStr">
        <is>
          <t>A150</t>
        </is>
      </c>
      <c r="B13" s="9" t="inlineStr">
        <is>
          <t>Площадь кладки 150 мм (П4) за вычетом проёма</t>
        </is>
      </c>
      <c r="C13" s="17">
        <f>C9*C4-C10*C11</f>
        <v/>
      </c>
      <c r="D13" s="9" t="inlineStr">
        <is>
          <t>м²</t>
        </is>
      </c>
      <c r="E13" s="9" t="inlineStr">
        <is>
          <t>формула</t>
        </is>
      </c>
    </row>
    <row r="14">
      <c r="A14" s="9" t="inlineStr">
        <is>
          <t>LSUM</t>
        </is>
      </c>
      <c r="B14" s="9" t="inlineStr">
        <is>
          <t>Суммарная длина перегородок</t>
        </is>
      </c>
      <c r="C14" s="17">
        <f>C5+C6+C7+C8+C9</f>
        <v/>
      </c>
      <c r="D14" s="9" t="inlineStr">
        <is>
          <t>м</t>
        </is>
      </c>
      <c r="E14" s="9" t="inlineStr">
        <is>
          <t>формула</t>
        </is>
      </c>
    </row>
    <row r="15">
      <c r="A15" s="9" t="inlineStr">
        <is>
          <t>JN</t>
        </is>
      </c>
      <c r="B15" s="9" t="inlineStr">
        <is>
          <t>Число примыканий к стенам и между перегородками</t>
        </is>
      </c>
      <c r="C15" s="16" t="n">
        <v>8</v>
      </c>
      <c r="D15" s="9" t="inlineStr">
        <is>
          <t>шт.</t>
        </is>
      </c>
      <c r="E15" s="9" t="inlineStr">
        <is>
          <t>лист 3</t>
        </is>
      </c>
    </row>
    <row r="16">
      <c r="A16" s="9" t="inlineStr">
        <is>
          <t>FK</t>
        </is>
      </c>
      <c r="B16" s="9" t="inlineStr">
        <is>
          <t>Пол: кухня</t>
        </is>
      </c>
      <c r="C16" s="16" t="n">
        <v>14.9</v>
      </c>
      <c r="D16" s="9" t="inlineStr">
        <is>
          <t>м²</t>
        </is>
      </c>
      <c r="E16" s="9" t="inlineStr">
        <is>
          <t>лист 4</t>
        </is>
      </c>
    </row>
    <row r="17">
      <c r="A17" s="9" t="inlineStr">
        <is>
          <t>FR</t>
        </is>
      </c>
      <c r="B17" s="9" t="inlineStr">
        <is>
          <t>Пол: спальня</t>
        </is>
      </c>
      <c r="C17" s="16" t="n">
        <v>12.1</v>
      </c>
      <c r="D17" s="9" t="inlineStr">
        <is>
          <t>м²</t>
        </is>
      </c>
      <c r="E17" s="9" t="inlineStr">
        <is>
          <t>лист 4</t>
        </is>
      </c>
    </row>
    <row r="18">
      <c r="A18" s="9" t="inlineStr">
        <is>
          <t>FH</t>
        </is>
      </c>
      <c r="B18" s="9" t="inlineStr">
        <is>
          <t>Пол: коридор</t>
        </is>
      </c>
      <c r="C18" s="16" t="n">
        <v>5</v>
      </c>
      <c r="D18" s="9" t="inlineStr">
        <is>
          <t>м²</t>
        </is>
      </c>
      <c r="E18" s="9" t="inlineStr">
        <is>
          <t>лист 4</t>
        </is>
      </c>
    </row>
    <row r="19">
      <c r="A19" s="9" t="inlineStr">
        <is>
          <t>FB</t>
        </is>
      </c>
      <c r="B19" s="9" t="inlineStr">
        <is>
          <t>Пол: санузел</t>
        </is>
      </c>
      <c r="C19" s="16" t="n">
        <v>6</v>
      </c>
      <c r="D19" s="9" t="inlineStr">
        <is>
          <t>м²</t>
        </is>
      </c>
      <c r="E19" s="9" t="inlineStr">
        <is>
          <t>лист 4</t>
        </is>
      </c>
    </row>
    <row r="20">
      <c r="A20" s="9" t="inlineStr">
        <is>
          <t>FALL</t>
        </is>
      </c>
      <c r="B20" s="9" t="inlineStr">
        <is>
          <t>Пол: всего</t>
        </is>
      </c>
      <c r="C20" s="17">
        <f>C16+C17+C18+C19</f>
        <v/>
      </c>
      <c r="D20" s="9" t="inlineStr">
        <is>
          <t>м²</t>
        </is>
      </c>
      <c r="E20" s="9" t="inlineStr">
        <is>
          <t>формула</t>
        </is>
      </c>
    </row>
    <row r="21">
      <c r="A21" s="9" t="inlineStr">
        <is>
          <t>SCR</t>
        </is>
      </c>
      <c r="B21" s="9" t="inlineStr">
        <is>
          <t>Толщина стяжки</t>
        </is>
      </c>
      <c r="C21" s="16" t="n">
        <v>0.06</v>
      </c>
      <c r="D21" s="9" t="inlineStr">
        <is>
          <t>м</t>
        </is>
      </c>
      <c r="E21" s="9" t="inlineStr">
        <is>
          <t>лист 4: 60 мм, над трубами отопления ≥ 30 мм</t>
        </is>
      </c>
    </row>
    <row r="22">
      <c r="A22" s="9" t="inlineStr">
        <is>
          <t>PER</t>
        </is>
      </c>
      <c r="B22" s="9" t="inlineStr">
        <is>
          <t>Периметр помещений (демпферная лента пола, каркас потолка)</t>
        </is>
      </c>
      <c r="C22" s="16" t="n">
        <v>54</v>
      </c>
      <c r="D22" s="9" t="inlineStr">
        <is>
          <t>м</t>
        </is>
      </c>
      <c r="E22" s="9" t="inlineStr">
        <is>
          <t>по плану</t>
        </is>
      </c>
    </row>
    <row r="23">
      <c r="A23" s="9" t="inlineStr">
        <is>
          <t>PERL</t>
        </is>
      </c>
      <c r="B23" s="9" t="inlineStr">
        <is>
          <t>Периметр кухни и спальни (плинтус)</t>
        </is>
      </c>
      <c r="C23" s="16" t="n">
        <v>30</v>
      </c>
      <c r="D23" s="9" t="inlineStr">
        <is>
          <t>м</t>
        </is>
      </c>
      <c r="E23" s="9" t="inlineStr">
        <is>
          <t>по плану, за вычетом проёмов</t>
        </is>
      </c>
    </row>
    <row r="24">
      <c r="A24" s="9" t="inlineStr">
        <is>
          <t>COVE</t>
        </is>
      </c>
      <c r="B24" s="9" t="inlineStr">
        <is>
          <t>Контур парящих островов (LED): спальня 6,2 + кухня 3,8 + коридор 6,6</t>
        </is>
      </c>
      <c r="C24" s="16" t="n">
        <v>16.6</v>
      </c>
      <c r="D24" s="9" t="inlineStr">
        <is>
          <t>м</t>
        </is>
      </c>
      <c r="E24" s="9" t="inlineStr">
        <is>
          <t>лист 5</t>
        </is>
      </c>
    </row>
    <row r="25">
      <c r="A25" s="9" t="inlineStr">
        <is>
          <t>DRY</t>
        </is>
      </c>
      <c r="B25" s="9" t="inlineStr">
        <is>
          <t>Стены под гипсовую штукатурку (сухие стороны перегородок)</t>
        </is>
      </c>
      <c r="C25" s="16" t="n">
        <v>41.5</v>
      </c>
      <c r="D25" s="9" t="inlineStr">
        <is>
          <t>м²</t>
        </is>
      </c>
      <c r="E25" s="9" t="inlineStr">
        <is>
          <t>П1 и П2 со стороны коридора/кухни, П3, П4 и П5 с двух сторон</t>
        </is>
      </c>
    </row>
    <row r="26">
      <c r="A26" s="9" t="inlineStr">
        <is>
          <t>WET</t>
        </is>
      </c>
      <c r="B26" s="9" t="inlineStr">
        <is>
          <t>Стены санузла под плитку (стороны перегородок)</t>
        </is>
      </c>
      <c r="C26" s="16" t="n">
        <v>14.8</v>
      </c>
      <c r="D26" s="9" t="inlineStr">
        <is>
          <t>м²</t>
        </is>
      </c>
      <c r="E26" s="9" t="inlineStr">
        <is>
          <t>П1, П2, П3 со стороны санузла</t>
        </is>
      </c>
    </row>
    <row r="27">
      <c r="A27" s="9" t="inlineStr">
        <is>
          <t>WT</t>
        </is>
      </c>
      <c r="B27" s="9" t="inlineStr">
        <is>
          <t>Плитка на стены санузла</t>
        </is>
      </c>
      <c r="C27" s="16" t="n">
        <v>27</v>
      </c>
      <c r="D27" s="9" t="inlineStr">
        <is>
          <t>м²</t>
        </is>
      </c>
      <c r="E27" s="9" t="inlineStr">
        <is>
          <t>периметр ≈ 10,5 м × 2,75 м за вычетом двери; уточнить по раскладке</t>
        </is>
      </c>
    </row>
    <row r="28">
      <c r="A28" s="9" t="inlineStr">
        <is>
          <t>WP</t>
        </is>
      </c>
      <c r="B28" s="9" t="inlineStr">
        <is>
          <t>Гидроизоляция санузла (пол + заход 200 мм + стены душа 2 м)</t>
        </is>
      </c>
      <c r="C28" s="16" t="n">
        <v>12.3</v>
      </c>
      <c r="D28" s="9" t="inlineStr">
        <is>
          <t>м²</t>
        </is>
      </c>
      <c r="E28" s="9" t="inlineStr">
        <is>
          <t>лист 4</t>
        </is>
      </c>
    </row>
    <row r="29">
      <c r="A29" s="9" t="inlineStr">
        <is>
          <t>HB</t>
        </is>
      </c>
      <c r="B29" s="9" t="inlineStr">
        <is>
          <t>Тёплый пол санузла</t>
        </is>
      </c>
      <c r="C29" s="16" t="n">
        <v>4.5</v>
      </c>
      <c r="D29" s="9" t="inlineStr">
        <is>
          <t>м²</t>
        </is>
      </c>
      <c r="E29" s="9" t="inlineStr">
        <is>
          <t>лист 4</t>
        </is>
      </c>
    </row>
    <row r="30">
      <c r="A30" s="9" t="inlineStr">
        <is>
          <t>HS</t>
        </is>
      </c>
      <c r="B30" s="9" t="inlineStr">
        <is>
          <t>Тёплый пол душа</t>
        </is>
      </c>
      <c r="C30" s="16" t="n">
        <v>1.1</v>
      </c>
      <c r="D30" s="9" t="inlineStr">
        <is>
          <t>м²</t>
        </is>
      </c>
      <c r="E30" s="9" t="inlineStr">
        <is>
          <t>лист 4</t>
        </is>
      </c>
    </row>
    <row r="31">
      <c r="A31" s="9" t="inlineStr">
        <is>
          <t>HW</t>
        </is>
      </c>
      <c r="B31" s="9" t="inlineStr">
        <is>
          <t>Тёплые стены душа</t>
        </is>
      </c>
      <c r="C31" s="16" t="n">
        <v>4</v>
      </c>
      <c r="D31" s="9" t="inlineStr">
        <is>
          <t>м²</t>
        </is>
      </c>
      <c r="E31" s="9" t="inlineStr">
        <is>
          <t>лист 4</t>
        </is>
      </c>
    </row>
    <row r="32">
      <c r="A32" s="9" t="inlineStr">
        <is>
          <t>ISLA</t>
        </is>
      </c>
      <c r="B32" s="9" t="inlineStr">
        <is>
          <t>Площадь островов (2,38 + 1,13 + 2,0)</t>
        </is>
      </c>
      <c r="C32" s="16" t="n">
        <v>5.5</v>
      </c>
      <c r="D32" s="9" t="inlineStr">
        <is>
          <t>м²</t>
        </is>
      </c>
      <c r="E32" s="9" t="inlineStr">
        <is>
          <t>лист 5</t>
        </is>
      </c>
    </row>
    <row r="33">
      <c r="A33" s="9" t="inlineStr">
        <is>
          <t>BOX</t>
        </is>
      </c>
      <c r="B33" s="9" t="inlineStr">
        <is>
          <t>Короб под воздуховод на кухне, длина</t>
        </is>
      </c>
      <c r="C33" s="16" t="n">
        <v>2.3</v>
      </c>
      <c r="D33" s="9" t="inlineStr">
        <is>
          <t>м</t>
        </is>
      </c>
      <c r="E33" s="9" t="inlineStr">
        <is>
          <t>лист 5: шир. 350</t>
        </is>
      </c>
    </row>
    <row r="34">
      <c r="A34" s="9" t="inlineStr">
        <is>
          <t>BLED</t>
        </is>
      </c>
      <c r="B34" s="9" t="inlineStr">
        <is>
          <t>LED санузла: контур ниши душа 3,6 + под полкой 1,2</t>
        </is>
      </c>
      <c r="C34" s="16" t="n">
        <v>4.8</v>
      </c>
      <c r="D34" s="9" t="inlineStr">
        <is>
          <t>м</t>
        </is>
      </c>
      <c r="E34" s="9" t="inlineStr">
        <is>
          <t>лист 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2026-10-15T13:53:45Z</dcterms:created>
  <dcterms:modified xsi:type="dcterms:W3CDTF">2026-10-15T13:53:45Z</dcterms:modified>
</cp:coreProperties>
</file>